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D8BA901C-901D-4467-9FF0-862642DB2A7D}" xr6:coauthVersionLast="47" xr6:coauthVersionMax="47" xr10:uidLastSave="{00000000-0000-0000-0000-000000000000}"/>
  <workbookProtection workbookAlgorithmName="SHA-512" workbookHashValue="QWC6jyxiuK9wISi13hGiXa8pNruymnbMpEooTUuYFTjwdq1AuRLtTp5Kss9FSCFWWJRcoSILWgj5DurG+vLdfA==" workbookSaltValue="GcZIUgZJRMliJ2WpziI5Mw==" workbookSpinCount="100000" lockStructure="1"/>
  <bookViews>
    <workbookView xWindow="28680" yWindow="-120" windowWidth="29040" windowHeight="15840" xr2:uid="{00000000-000D-0000-FFFF-FFFF00000000}"/>
  </bookViews>
  <sheets>
    <sheet name="Dividendide arvestus" sheetId="1" r:id="rId1"/>
    <sheet name="admin" sheetId="3" state="hidden" r:id="rId2"/>
  </sheets>
  <definedNames>
    <definedName name="DivAasta">admin!$A$1:$A$11</definedName>
    <definedName name="DivAastaX">#REF!</definedName>
    <definedName name="Isik">admin!$A$20:$A$21</definedName>
    <definedName name="residentsus">admin!$A$16:$A$18</definedName>
    <definedName name="TmMaar">admin!$A$29:$A$31</definedName>
    <definedName name="YesNo">admin!$A$24:$A$25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9" i="1"/>
  <c r="A11" i="1"/>
  <c r="F5" i="1"/>
  <c r="D22" i="1"/>
  <c r="C33" i="1"/>
  <c r="D2" i="1"/>
  <c r="D3" i="1" l="1"/>
  <c r="D8" i="1"/>
  <c r="C8" i="1"/>
  <c r="D5" i="1"/>
  <c r="D9" i="1" s="1"/>
  <c r="C5" i="1"/>
  <c r="C9" i="1" s="1"/>
  <c r="E8" i="1"/>
  <c r="A8" i="1"/>
  <c r="E5" i="1"/>
  <c r="E9" i="1" s="1"/>
  <c r="F9" i="1" l="1"/>
  <c r="F6" i="1"/>
  <c r="E15" i="1" l="1"/>
  <c r="F11" i="1"/>
  <c r="F10" i="1"/>
  <c r="F15" i="1"/>
  <c r="I15" i="1" l="1"/>
  <c r="J15" i="1"/>
  <c r="E16" i="1" l="1"/>
  <c r="F16" i="1"/>
  <c r="I16" i="1"/>
  <c r="C13" i="1"/>
  <c r="K15" i="1"/>
  <c r="E17" i="1" l="1"/>
  <c r="J16" i="1"/>
  <c r="K16" i="1"/>
  <c r="F17" i="1"/>
  <c r="J17" i="1" s="1"/>
  <c r="I17" i="1"/>
  <c r="F18" i="1" l="1"/>
  <c r="J18" i="1" s="1"/>
  <c r="E18" i="1"/>
  <c r="I18" i="1"/>
  <c r="K17" i="1"/>
  <c r="I19" i="1" l="1"/>
  <c r="E20" i="1" s="1"/>
  <c r="F19" i="1"/>
  <c r="J19" i="1" s="1"/>
  <c r="E19" i="1"/>
  <c r="K18" i="1"/>
  <c r="K19" i="1" l="1"/>
  <c r="F20" i="1"/>
  <c r="J20" i="1" s="1"/>
  <c r="I20" i="1"/>
  <c r="I21" i="1" l="1"/>
  <c r="I22" i="1" s="1"/>
  <c r="F21" i="1"/>
  <c r="E21" i="1"/>
  <c r="K20" i="1"/>
  <c r="K21" i="1" l="1"/>
  <c r="K22" i="1" s="1"/>
  <c r="C44" i="1"/>
  <c r="C64" i="1"/>
  <c r="C59" i="1"/>
  <c r="C55" i="1"/>
  <c r="C60" i="1"/>
  <c r="E22" i="1"/>
  <c r="C42" i="1"/>
  <c r="C36" i="1"/>
  <c r="C35" i="1"/>
  <c r="J21" i="1"/>
  <c r="C45" i="1"/>
  <c r="C43" i="1"/>
  <c r="F22" i="1"/>
  <c r="C37" i="1"/>
  <c r="C56" i="1"/>
  <c r="C66" i="1"/>
  <c r="J22" i="1" l="1"/>
  <c r="C41" i="1"/>
  <c r="C40" i="1"/>
  <c r="C34" i="1"/>
  <c r="C49" i="1"/>
  <c r="C50" i="1"/>
  <c r="C65" i="1"/>
  <c r="C54" i="1"/>
</calcChain>
</file>

<file path=xl/sharedStrings.xml><?xml version="1.0" encoding="utf-8"?>
<sst xmlns="http://schemas.openxmlformats.org/spreadsheetml/2006/main" count="90" uniqueCount="57">
  <si>
    <t>Dividendide tasumise aasta:</t>
  </si>
  <si>
    <t>Dividendide ja omakapitali väljamaksed varasematel perioodidel:</t>
  </si>
  <si>
    <t>KOKKU:</t>
  </si>
  <si>
    <t>Dividendide bruto summa tasumise aastal:</t>
  </si>
  <si>
    <t>Dividendide jaotamine saajate vahel ning maksuarvestus:</t>
  </si>
  <si>
    <t>Isiku registri/isikukood</t>
  </si>
  <si>
    <t>dividendi summa</t>
  </si>
  <si>
    <t>Residentsus</t>
  </si>
  <si>
    <t>resident</t>
  </si>
  <si>
    <t>Isiku tüüp</t>
  </si>
  <si>
    <t>juriidiline</t>
  </si>
  <si>
    <t>füüsiline</t>
  </si>
  <si>
    <t>Äriühingu tulumaks</t>
  </si>
  <si>
    <t>Füüsilise isiku tulumaks</t>
  </si>
  <si>
    <t>jah</t>
  </si>
  <si>
    <t>ei</t>
  </si>
  <si>
    <t>NB! Äriühingul on dividendide maksustamisel erinevad võimalused kui dividendide saajad on erinevat tüüpi isikud (st jur.isikule makstes dividende on kasulik rakendada madalamat määra kõige pealt)</t>
  </si>
  <si>
    <t>Maksudena tasuda kokku:</t>
  </si>
  <si>
    <t>Isikule tasuda kokku:</t>
  </si>
  <si>
    <t>rakendada madalamat maksumäära (kui võimalik)</t>
  </si>
  <si>
    <t>rakendatud madalam maksumäär summale</t>
  </si>
  <si>
    <t>NB! TSD täitmise reeglite kohaselt on äriühingul kohustus dividendi väljamaksmisel kohaldada esmalt madalamat maksumäära (14/86) ja seejärel tavamäära (20/80).</t>
  </si>
  <si>
    <t>NB! Tabel rakendab madalamat maksumäära võimalikus ulatuses ridade järjekorras alati maksimaalselt per rida, kui enam madalamat määra kasutada ei ole võimalik rakendub tavamäär automaatselt</t>
  </si>
  <si>
    <t xml:space="preserve">NB! Võrdsa maksude arvestuse saavutamiseks tuleb dividendi summa jaotada madalama ning tavapärase maksumäära alusel, mida omakorda jaotada dividendide proportsioonide alusel </t>
  </si>
  <si>
    <t>mitteresident</t>
  </si>
  <si>
    <t>Mitteresidentsuse tulumaksu määr</t>
  </si>
  <si>
    <t>Dividendide arvestamist ei ole võimalik e-arveldajas automaatselt kajastada, selleks tuleb teha vajalikud finantskanded läbi raamatupidamise kannete mooduli, lisades järgmised kanded:</t>
  </si>
  <si>
    <t>Dividendide arvestus ja väljamaksed e-arveldajas</t>
  </si>
  <si>
    <t>2521 Isiku tulumaksu viitvõlg</t>
  </si>
  <si>
    <t>D</t>
  </si>
  <si>
    <t>K</t>
  </si>
  <si>
    <t>2520 Isiku tulumaksu võlg</t>
  </si>
  <si>
    <t>1516 EMTA ettemaksukonto</t>
  </si>
  <si>
    <t>1516 EMTA ettemaksukonto </t>
  </si>
  <si>
    <t>2650 dividendivõlad</t>
  </si>
  <si>
    <t>2655 Dividenditulumaksu viitvõlg</t>
  </si>
  <si>
    <t>2656 Dividenditulumaksu võlg</t>
  </si>
  <si>
    <t>8900 Tulumaksukulu</t>
  </si>
  <si>
    <t>2650 Dividendivõlad</t>
  </si>
  <si>
    <t>2960 Eelmiste perioodide jaotamata kasum</t>
  </si>
  <si>
    <t>5830 Tulumaks ettevõtlusega mitteseotud kuludelt</t>
  </si>
  <si>
    <t>1020 Pank</t>
  </si>
  <si>
    <t>Pank/Kassa</t>
  </si>
  <si>
    <t>kuna seda tulumaksu käsitletakse kui erijuhtumi tulumaksuna, mida tuleb sellisel juhul ühe täiendava kandena hetkel parandada (kuni Maksuamet hakkab eristama dividendide tulumaksu eraldi tunnusega):</t>
  </si>
  <si>
    <r>
      <t>Dividendide väljamaksmine (</t>
    </r>
    <r>
      <rPr>
        <b/>
        <u/>
        <sz val="8.5"/>
        <color rgb="FF000000"/>
        <rFont val="Verdana"/>
        <family val="2"/>
        <charset val="186"/>
      </rPr>
      <t>kanne tuleb teha käsitsi</t>
    </r>
    <r>
      <rPr>
        <b/>
        <sz val="8.5"/>
        <color rgb="FF000000"/>
        <rFont val="Verdana"/>
        <family val="2"/>
        <charset val="186"/>
      </rPr>
      <t>):</t>
    </r>
  </si>
  <si>
    <r>
      <t>Dividendide arvestamine (sh tulumaksu arvestamine) (</t>
    </r>
    <r>
      <rPr>
        <b/>
        <u/>
        <sz val="8.5"/>
        <color rgb="FF000000"/>
        <rFont val="Verdana"/>
        <family val="2"/>
        <charset val="186"/>
      </rPr>
      <t>kanne tuleb teha käsitsi</t>
    </r>
    <r>
      <rPr>
        <b/>
        <sz val="8.5"/>
        <color rgb="FF000000"/>
        <rFont val="Verdana"/>
        <family val="2"/>
        <charset val="186"/>
      </rPr>
      <t>):</t>
    </r>
  </si>
  <si>
    <r>
      <t>Paranduskanne, mida tuleb teha eelneva kande sama kuupäevaga (</t>
    </r>
    <r>
      <rPr>
        <b/>
        <u/>
        <sz val="11"/>
        <color theme="1"/>
        <rFont val="Calibri"/>
        <family val="2"/>
        <charset val="186"/>
        <scheme val="minor"/>
      </rPr>
      <t>kanne tuleb teha käsitsi</t>
    </r>
    <r>
      <rPr>
        <b/>
        <sz val="11"/>
        <color theme="1"/>
        <rFont val="Calibri"/>
        <family val="2"/>
        <charset val="186"/>
        <scheme val="minor"/>
      </rPr>
      <t>):</t>
    </r>
  </si>
  <si>
    <t>Kande kp:</t>
  </si>
  <si>
    <t>Peale eelmise periodi jaotamata kasumi fikseerimist, kuid enne dividendide tegelikut väljamaksmist</t>
  </si>
  <si>
    <t>Dividendide väljamaksmise kuupäeval, peab olema hilisem kui dividendide arvestamise kp kanne</t>
  </si>
  <si>
    <t>Vastavalt pangas tasutud kuupäevale</t>
  </si>
  <si>
    <t>Vastavalt kuupäevale millal on maksuamet raha ettemaksukontolt ära võtnud</t>
  </si>
  <si>
    <r>
      <t xml:space="preserve">Dividendide tasumist ning tulumaksu </t>
    </r>
    <r>
      <rPr>
        <b/>
        <u/>
        <sz val="8.5"/>
        <color rgb="FFFF0000"/>
        <rFont val="Verdana"/>
        <family val="2"/>
        <charset val="186"/>
      </rPr>
      <t>deklareeritakse ja tasutakse</t>
    </r>
    <r>
      <rPr>
        <b/>
        <u/>
        <sz val="8.5"/>
        <color rgb="FF000000"/>
        <rFont val="Verdana"/>
        <family val="2"/>
        <charset val="186"/>
      </rPr>
      <t xml:space="preserve"> </t>
    </r>
    <r>
      <rPr>
        <b/>
        <sz val="8.5"/>
        <color rgb="FF000000"/>
        <rFont val="Verdana"/>
        <family val="2"/>
        <charset val="186"/>
      </rPr>
      <t xml:space="preserve">järgmise kuu 10 kuupäevaks TSD Lisas 7 ning INF 1. </t>
    </r>
  </si>
  <si>
    <r>
      <rPr>
        <b/>
        <u/>
        <sz val="8.5"/>
        <color rgb="FF000000"/>
        <rFont val="Verdana"/>
        <family val="2"/>
        <charset val="186"/>
      </rPr>
      <t>Automaatne kanne</t>
    </r>
    <r>
      <rPr>
        <b/>
        <sz val="8.5"/>
        <color rgb="FF000000"/>
        <rFont val="Verdana"/>
        <family val="2"/>
        <charset val="186"/>
      </rPr>
      <t>, kui imporditakse pangakonto väljavõte, e-arveldajas on järgmine (</t>
    </r>
    <r>
      <rPr>
        <b/>
        <u/>
        <sz val="8.5"/>
        <color rgb="FF000000"/>
        <rFont val="Verdana"/>
        <family val="2"/>
        <charset val="186"/>
      </rPr>
      <t>võib olla tasutud muude TSD maksudega koos, siis summad erinevad muude maksude võrra</t>
    </r>
    <r>
      <rPr>
        <b/>
        <sz val="8.5"/>
        <color rgb="FF000000"/>
        <rFont val="Verdana"/>
        <family val="2"/>
        <charset val="186"/>
      </rPr>
      <t>):</t>
    </r>
  </si>
  <si>
    <r>
      <rPr>
        <b/>
        <u/>
        <sz val="8.5"/>
        <color rgb="FFFF0000"/>
        <rFont val="Verdana"/>
        <family val="2"/>
        <charset val="186"/>
      </rPr>
      <t>Kui Teie kasutate EMTA ettemaksukontoväljavõte faili importimist siis</t>
    </r>
    <r>
      <rPr>
        <b/>
        <sz val="8.5"/>
        <color rgb="FF000000"/>
        <rFont val="Verdana"/>
        <family val="2"/>
        <charset val="186"/>
      </rPr>
      <t xml:space="preserve">, süsteem teeb hetkel järgneva </t>
    </r>
    <r>
      <rPr>
        <b/>
        <u/>
        <sz val="8.5"/>
        <color rgb="FF000000"/>
        <rFont val="Verdana"/>
        <family val="2"/>
        <charset val="186"/>
      </rPr>
      <t>automaatse kande</t>
    </r>
    <r>
      <rPr>
        <b/>
        <sz val="8.5"/>
        <color rgb="FF000000"/>
        <rFont val="Verdana"/>
        <family val="2"/>
        <charset val="186"/>
      </rPr>
      <t xml:space="preserve"> (kui mitte arvestada muud TSD'ga seotud maksed)</t>
    </r>
  </si>
  <si>
    <r>
      <rPr>
        <b/>
        <u/>
        <sz val="8.5"/>
        <color rgb="FFFF0000"/>
        <rFont val="Verdana"/>
        <family val="2"/>
        <charset val="186"/>
      </rPr>
      <t>Kui Teie ei kasuta EMTA ettemaksukontoväljavõte faili importimist siis</t>
    </r>
    <r>
      <rPr>
        <b/>
        <sz val="8.5"/>
        <color rgb="FF000000"/>
        <rFont val="Verdana"/>
        <family val="2"/>
        <charset val="186"/>
      </rPr>
      <t>, peate lisaks muude TSD maksude kajastamise kannetele lisama ka järgneva kande:</t>
    </r>
  </si>
  <si>
    <t>Lugupeetud e-arveldaja kliendid!
Antud abistava tabeliga saate planeerida dividendide jaotamist ning nendega seotud maksude arvestamist. Täita saab vaid rohelised väljad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</si>
</sst>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.5"/>
      <color rgb="FF000000"/>
      <name val="Verdana"/>
      <family val="2"/>
      <charset val="186"/>
    </font>
    <font>
      <sz val="8.5"/>
      <color rgb="FF000000"/>
      <name val="Verdana"/>
      <family val="2"/>
      <charset val="186"/>
    </font>
    <font>
      <b/>
      <sz val="8.5"/>
      <color rgb="FF000000"/>
      <name val="Verdana"/>
      <family val="2"/>
      <charset val="186"/>
    </font>
    <font>
      <b/>
      <u/>
      <sz val="8.5"/>
      <color rgb="FF000000"/>
      <name val="Verdana"/>
      <family val="2"/>
      <charset val="186"/>
    </font>
    <font>
      <b/>
      <u/>
      <sz val="11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u/>
      <sz val="8.5"/>
      <color rgb="FFFF0000"/>
      <name val="Verdana"/>
      <family val="2"/>
      <charset val="186"/>
    </font>
    <font>
      <b/>
      <sz val="8.5"/>
      <color rgb="FFFF0000"/>
      <name val="Verdana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1" xfId="0" applyFill="1" applyBorder="1" applyProtection="1">
      <protection hidden="1"/>
    </xf>
    <xf numFmtId="0" fontId="0" fillId="0" borderId="0" xfId="0" applyProtection="1">
      <protection hidden="1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 hidden="1"/>
    </xf>
    <xf numFmtId="0" fontId="0" fillId="3" borderId="1" xfId="0" applyFill="1" applyBorder="1" applyAlignment="1" applyProtection="1">
      <alignment horizontal="center"/>
      <protection locked="0" hidden="1"/>
    </xf>
    <xf numFmtId="164" fontId="0" fillId="2" borderId="1" xfId="0" applyNumberFormat="1" applyFill="1" applyBorder="1" applyProtection="1">
      <protection hidden="1"/>
    </xf>
    <xf numFmtId="0" fontId="0" fillId="6" borderId="0" xfId="0" applyFill="1" applyProtection="1">
      <protection hidden="1"/>
    </xf>
    <xf numFmtId="0" fontId="4" fillId="6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5" fillId="6" borderId="0" xfId="0" applyFont="1" applyFill="1" applyProtection="1"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Protection="1">
      <protection hidden="1"/>
    </xf>
    <xf numFmtId="9" fontId="0" fillId="0" borderId="0" xfId="0" applyNumberFormat="1" applyProtection="1">
      <protection hidden="1"/>
    </xf>
    <xf numFmtId="9" fontId="0" fillId="3" borderId="1" xfId="0" applyNumberFormat="1" applyFill="1" applyBorder="1" applyProtection="1">
      <protection locked="0" hidden="1"/>
    </xf>
    <xf numFmtId="0" fontId="5" fillId="4" borderId="1" xfId="0" applyFont="1" applyFill="1" applyBorder="1" applyAlignment="1" applyProtection="1">
      <alignment horizontal="left"/>
      <protection hidden="1"/>
    </xf>
    <xf numFmtId="0" fontId="0" fillId="6" borderId="1" xfId="0" applyFill="1" applyBorder="1" applyProtection="1">
      <protection hidden="1"/>
    </xf>
    <xf numFmtId="7" fontId="0" fillId="2" borderId="1" xfId="0" applyNumberFormat="1" applyFill="1" applyBorder="1" applyProtection="1">
      <protection hidden="1"/>
    </xf>
    <xf numFmtId="0" fontId="5" fillId="6" borderId="0" xfId="0" applyFont="1" applyFill="1" applyAlignment="1" applyProtection="1">
      <alignment horizontal="right"/>
      <protection hidden="1"/>
    </xf>
    <xf numFmtId="164" fontId="5" fillId="6" borderId="0" xfId="0" applyNumberFormat="1" applyFont="1" applyFill="1" applyProtection="1"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Protection="1">
      <protection hidden="1"/>
    </xf>
    <xf numFmtId="164" fontId="5" fillId="6" borderId="1" xfId="0" applyNumberFormat="1" applyFont="1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5" borderId="1" xfId="0" applyFill="1" applyBorder="1" applyProtection="1">
      <protection hidden="1"/>
    </xf>
    <xf numFmtId="0" fontId="11" fillId="6" borderId="0" xfId="0" applyFont="1" applyFill="1" applyProtection="1"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vertical="center"/>
      <protection hidden="1"/>
    </xf>
    <xf numFmtId="0" fontId="8" fillId="6" borderId="0" xfId="0" applyFont="1" applyFill="1" applyAlignment="1" applyProtection="1">
      <alignment vertical="center"/>
      <protection hidden="1"/>
    </xf>
    <xf numFmtId="0" fontId="7" fillId="5" borderId="1" xfId="0" applyFont="1" applyFill="1" applyBorder="1" applyAlignment="1" applyProtection="1">
      <alignment vertical="center"/>
      <protection hidden="1"/>
    </xf>
    <xf numFmtId="0" fontId="7" fillId="6" borderId="1" xfId="0" applyFont="1" applyFill="1" applyBorder="1" applyProtection="1">
      <protection hidden="1"/>
    </xf>
    <xf numFmtId="0" fontId="13" fillId="6" borderId="0" xfId="0" applyFont="1" applyFill="1" applyAlignment="1" applyProtection="1">
      <alignment vertical="center"/>
      <protection hidden="1"/>
    </xf>
    <xf numFmtId="0" fontId="7" fillId="5" borderId="1" xfId="0" applyFont="1" applyFill="1" applyBorder="1" applyProtection="1">
      <protection hidden="1"/>
    </xf>
    <xf numFmtId="164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5" fillId="4" borderId="2" xfId="0" applyFont="1" applyFill="1" applyBorder="1" applyProtection="1">
      <protection hidden="1"/>
    </xf>
    <xf numFmtId="0" fontId="5" fillId="4" borderId="3" xfId="0" applyFont="1" applyFill="1" applyBorder="1" applyProtection="1">
      <protection hidden="1"/>
    </xf>
    <xf numFmtId="0" fontId="5" fillId="4" borderId="2" xfId="0" applyFont="1" applyFill="1" applyBorder="1" applyAlignment="1" applyProtection="1">
      <alignment horizontal="left"/>
      <protection hidden="1"/>
    </xf>
    <xf numFmtId="0" fontId="5" fillId="4" borderId="3" xfId="0" applyFont="1" applyFill="1" applyBorder="1" applyAlignment="1" applyProtection="1">
      <alignment horizontal="left"/>
      <protection hidden="1"/>
    </xf>
    <xf numFmtId="0" fontId="5" fillId="4" borderId="4" xfId="0" applyFont="1" applyFill="1" applyBorder="1" applyAlignment="1" applyProtection="1">
      <alignment horizontal="left" vertical="center" wrapText="1"/>
      <protection hidden="1"/>
    </xf>
    <xf numFmtId="0" fontId="5" fillId="4" borderId="5" xfId="0" applyFont="1" applyFill="1" applyBorder="1" applyAlignment="1" applyProtection="1">
      <alignment horizontal="left" vertical="center" wrapText="1"/>
      <protection hidden="1"/>
    </xf>
    <xf numFmtId="0" fontId="5" fillId="4" borderId="6" xfId="0" applyFont="1" applyFill="1" applyBorder="1" applyAlignment="1" applyProtection="1">
      <alignment horizontal="left" vertical="center" wrapText="1"/>
      <protection hidden="1"/>
    </xf>
    <xf numFmtId="0" fontId="5" fillId="4" borderId="7" xfId="0" applyFont="1" applyFill="1" applyBorder="1" applyAlignment="1" applyProtection="1">
      <alignment horizontal="left" vertical="center" wrapText="1"/>
      <protection hidden="1"/>
    </xf>
    <xf numFmtId="0" fontId="2" fillId="6" borderId="0" xfId="0" applyFont="1" applyFill="1" applyAlignment="1" applyProtection="1">
      <alignment vertical="top" wrapText="1"/>
      <protection hidden="1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="125" zoomScaleNormal="125" workbookViewId="0">
      <selection activeCell="H4" sqref="H4"/>
    </sheetView>
  </sheetViews>
  <sheetFormatPr defaultColWidth="0" defaultRowHeight="15" zeroHeight="1" x14ac:dyDescent="0.25"/>
  <cols>
    <col min="1" max="1" width="47.7109375" style="8" customWidth="1"/>
    <col min="2" max="2" width="13.5703125" style="8" customWidth="1"/>
    <col min="3" max="3" width="13.28515625" style="8" customWidth="1"/>
    <col min="4" max="6" width="12.7109375" style="8" customWidth="1"/>
    <col min="7" max="7" width="12.5703125" style="8" customWidth="1"/>
    <col min="8" max="9" width="13.42578125" style="8" customWidth="1"/>
    <col min="10" max="11" width="12.7109375" style="8" customWidth="1"/>
    <col min="12" max="12" width="9.140625" style="8" customWidth="1"/>
    <col min="13" max="16384" width="9.140625" style="8" hidden="1"/>
  </cols>
  <sheetData>
    <row r="1" spans="1:11" ht="38.25" customHeight="1" x14ac:dyDescent="0.25">
      <c r="A1" s="45" t="s">
        <v>56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39" t="s">
        <v>0</v>
      </c>
      <c r="B2" s="40"/>
      <c r="C2" s="3"/>
      <c r="D2" s="9" t="str">
        <f>IF(C2&lt;&gt;0,"","Palun valige dividendide tasumise aasta!")</f>
        <v>Palun valige dividendide tasumise aasta!</v>
      </c>
    </row>
    <row r="3" spans="1:11" x14ac:dyDescent="0.25">
      <c r="A3" s="39" t="s">
        <v>3</v>
      </c>
      <c r="B3" s="40"/>
      <c r="C3" s="4"/>
      <c r="D3" s="9" t="str">
        <f>IF(C3&lt;&gt;0,"","Palun sisestage jaotatav dividendide summa!")</f>
        <v>Palun sisestage jaotatav dividendide summa!</v>
      </c>
    </row>
    <row r="4" spans="1:11" x14ac:dyDescent="0.25"/>
    <row r="5" spans="1:11" ht="15" customHeight="1" x14ac:dyDescent="0.25">
      <c r="A5" s="41" t="s">
        <v>1</v>
      </c>
      <c r="B5" s="42"/>
      <c r="C5" s="1" t="str">
        <f>IF(C2&lt;&gt;0,C2-3,"")</f>
        <v/>
      </c>
      <c r="D5" s="1" t="str">
        <f>IF(C2&lt;&gt;0,C2-2,"")</f>
        <v/>
      </c>
      <c r="E5" s="1" t="str">
        <f>IF(C2&lt;&gt;0,C2-1,"")</f>
        <v/>
      </c>
      <c r="F5" s="12" t="str">
        <f>IF(C2="","",IF(C2&gt;=2025,"","NB! Kajastada summas, millelt residendist äriühing on maksnud tulumaksu"))</f>
        <v/>
      </c>
      <c r="G5" s="12"/>
    </row>
    <row r="6" spans="1:11" x14ac:dyDescent="0.25">
      <c r="A6" s="43"/>
      <c r="B6" s="44"/>
      <c r="C6" s="4"/>
      <c r="D6" s="4"/>
      <c r="E6" s="4"/>
      <c r="F6" s="9" t="str">
        <f>IF(C2="","",IF(C2&gt;=2025,"",IF(C5&gt;2017,IF(C6&lt;&gt;0,"","Palun sisestage summad vähemalt alates 2018 aastast ja/või eelneva 3 aasta kohta!"),IF(D5&gt;2017,IF(D6&lt;&gt;0,IF(E6&lt;&gt;0,"","Palun sisestage summad vähemalt alates 2018 aastast ja/või eelneva 3 aasta kohta!"),"Palun sisestage summad vähemalt alates 2018 aastast ja/või eelneva 3 aasta kohta!"),IF(E5&gt;2017,IF(E6&lt;&gt;0,"","Palun sisestage summad vähemalt alates 2018 aastast ja/või eelneva 3 aasta kohta!"),"")))))</f>
        <v/>
      </c>
      <c r="G6" s="9"/>
    </row>
    <row r="7" spans="1:11" x14ac:dyDescent="0.25"/>
    <row r="8" spans="1:11" x14ac:dyDescent="0.25">
      <c r="A8" s="14" t="str">
        <f>CONCATENATE(C2," aasta dividendidele kohaldatavad määrad ning nende arvestus:")</f>
        <v xml:space="preserve"> aasta dividendidele kohaldatavad määrad ning nende arvestus:</v>
      </c>
      <c r="B8" s="14"/>
      <c r="C8" s="1" t="str">
        <f>IF(C2&lt;&gt;0,C2-3,"")</f>
        <v/>
      </c>
      <c r="D8" s="1" t="str">
        <f>IF(C2&lt;&gt;0,C2-2,"")</f>
        <v/>
      </c>
      <c r="E8" s="1" t="str">
        <f>IF(C2&lt;&gt;0,C2-1,"")</f>
        <v/>
      </c>
      <c r="F8" s="17" t="s">
        <v>2</v>
      </c>
      <c r="G8" s="11"/>
      <c r="I8" s="11"/>
    </row>
    <row r="9" spans="1:11" x14ac:dyDescent="0.25">
      <c r="A9" s="14" t="str">
        <f>CONCATENATE(C2," aastal kohaldatav maksumäär (14/86) väljamakse summale:")</f>
        <v xml:space="preserve"> aastal kohaldatav maksumäär (14/86) väljamakse summale:</v>
      </c>
      <c r="B9" s="14"/>
      <c r="C9" s="7" t="str">
        <f>IF(C2="","",IF(C2&gt;=2025,"",IF(C2&lt;&gt;0,IF(C2&gt;2024,0,IF(C5&gt;2017,C6/3,0)),"")))</f>
        <v/>
      </c>
      <c r="D9" s="7" t="str">
        <f>IF(C2="","",IF(C2&gt;=2025,"",IF(C2&lt;&gt;0,IF(C2&gt;2024,0,IF(D5&gt;2017,D6/3,0)),"")))</f>
        <v/>
      </c>
      <c r="E9" s="7" t="str">
        <f>IF(C2="","",IF(C2&gt;=2025,"",IF(C2&lt;&gt;0,IF(C2&gt;2024,0,IF(E5&gt;2017,E6/3,0)),"")))</f>
        <v/>
      </c>
      <c r="F9" s="7" t="str">
        <f>IF(C2&lt;&gt;0,IF(C3&lt;&gt;0,IF(C3&gt;SUM(C9:E9),SUM(C9:E9),C3),""),"")</f>
        <v/>
      </c>
    </row>
    <row r="10" spans="1:11" x14ac:dyDescent="0.25">
      <c r="A10" s="14" t="str">
        <f>CONCATENATE(C2," aastal kohaldatav maksumäär (20/80) väljamakse summale:")</f>
        <v xml:space="preserve"> aastal kohaldatav maksumäär (20/80) väljamakse summale:</v>
      </c>
      <c r="B10" s="14"/>
      <c r="C10" s="35"/>
      <c r="D10" s="36"/>
      <c r="E10" s="36"/>
      <c r="F10" s="7" t="str">
        <f>IF(AND(C2&lt;&gt;0,C2&lt;2025),IF(C3&lt;&gt;0,IF(C3&gt;=F9,C3-F9,0),""),"")</f>
        <v/>
      </c>
    </row>
    <row r="11" spans="1:11" x14ac:dyDescent="0.25">
      <c r="A11" s="37" t="str">
        <f>IF(C2="","",IF(C2&gt;=2025,CONCATENATE(C2," aastal kohaldatav maksumäär (22/78) väljamakse summale:"),""))</f>
        <v/>
      </c>
      <c r="B11" s="38"/>
      <c r="C11" s="35"/>
      <c r="D11" s="36"/>
      <c r="E11" s="36"/>
      <c r="F11" s="7" t="str">
        <f>IF(AND(C2&lt;&gt;0,C2&gt;2024),IF(C3&lt;&gt;0,IF(C3&gt;=F9,C3-F9,0),""),"")</f>
        <v/>
      </c>
    </row>
    <row r="12" spans="1:11" x14ac:dyDescent="0.25"/>
    <row r="13" spans="1:11" x14ac:dyDescent="0.25">
      <c r="A13" s="8" t="s">
        <v>4</v>
      </c>
      <c r="C13" s="9" t="str">
        <f>IF(SUM(D15:D21)&lt;C3,CONCATENATE("Palun jaotage kogu dividendide summa, jääk: ",C3-SUM(D15:D21)," €"),IF(SUM(D15:D21)=C3,"",CONCATENATE("Jaotatud summa ",SUM(D15:D21)," € on suurem kui planeeritud dividendide maht ",C3," €!"," Vahe: ",SUM(D15:D21)-C3," €")))</f>
        <v/>
      </c>
    </row>
    <row r="14" spans="1:11" ht="61.5" customHeight="1" x14ac:dyDescent="0.25">
      <c r="A14" s="13" t="s">
        <v>5</v>
      </c>
      <c r="B14" s="13" t="s">
        <v>9</v>
      </c>
      <c r="C14" s="13" t="s">
        <v>7</v>
      </c>
      <c r="D14" s="13" t="s">
        <v>6</v>
      </c>
      <c r="E14" s="13" t="s">
        <v>12</v>
      </c>
      <c r="F14" s="13" t="s">
        <v>13</v>
      </c>
      <c r="G14" s="13" t="s">
        <v>25</v>
      </c>
      <c r="H14" s="13" t="s">
        <v>19</v>
      </c>
      <c r="I14" s="13" t="s">
        <v>20</v>
      </c>
      <c r="J14" s="13" t="s">
        <v>18</v>
      </c>
      <c r="K14" s="13" t="s">
        <v>17</v>
      </c>
    </row>
    <row r="15" spans="1:11" x14ac:dyDescent="0.25">
      <c r="A15" s="5"/>
      <c r="B15" s="6"/>
      <c r="C15" s="6"/>
      <c r="D15" s="4"/>
      <c r="E15" s="7" t="str">
        <f>IF(D15&lt;&gt;0,IF(AND(H15="jah",B15="füüsiline"),IF(D15&gt;$F$9,ROUND($F$9*14/86,2)+ROUND((D15-$F$9)*IF(C2&gt;2024,22/78,20/80),2),ROUND(D15*14/86,2)),D15*IF(C2&gt;2024,22/78,20/80)),"")</f>
        <v/>
      </c>
      <c r="F15" s="7" t="str">
        <f>IF(D15&lt;&gt;0,IF(B15="füüsiline",IF(C15="mitteresident",IF(H15="jah",IF(D15&gt;$F$9,ROUND($F$9*G15,2),ROUND(D15*G15,2)),0),IF(H15="jah",IF(D15&gt;$F$9,ROUND($F$9*7%,2),ROUND(D15*7%,2)),0)),0),"")</f>
        <v/>
      </c>
      <c r="G15" s="16"/>
      <c r="H15" s="6"/>
      <c r="I15" s="7">
        <f>IF(D15&lt;&gt;0,IF(H15="jah",IF(D15&gt;$F$9,$F$9,D15),0),0)</f>
        <v>0</v>
      </c>
      <c r="J15" s="7" t="str">
        <f>IF(D15&lt;&gt;0,D15-F15,"")</f>
        <v/>
      </c>
      <c r="K15" s="7" t="str">
        <f>IF(D15&lt;&gt;0,SUM(E15:F15),"")</f>
        <v/>
      </c>
    </row>
    <row r="16" spans="1:11" x14ac:dyDescent="0.25">
      <c r="A16" s="5"/>
      <c r="B16" s="6"/>
      <c r="C16" s="6"/>
      <c r="D16" s="4"/>
      <c r="E16" s="7" t="str">
        <f>IF(D16&lt;&gt;0,IF(AND(H16="jah",F9&gt;I15,B16="füüsiline"),IF((D16+I15)&gt;($F$9-I15),IF(D16&gt;(F9-I15),ROUND(($F$9-I15)*14/86,2)+ROUND((D16-$F$9+I15)*IF(C2&gt;2024,22/78,20/80),2),ROUND(D16*14/86,2)),ROUND(D16*14/86,2)),D16*IF(C2&gt;2024,22/78,20/80)),"")</f>
        <v/>
      </c>
      <c r="F16" s="7" t="str">
        <f>IF(D16&lt;&gt;0,IF(B16="füüsiline",IF(C16="mitteresident",IF(AND(H16="jah",F9&gt;I15),IF((D16+I15)&gt;($F$9-I15),IF(D16&gt;(F9-I15),ROUND(($F$9-I15)*G16,2),ROUND(D16*G16,2)),ROUND(D16*G16,2)),0),IF(AND(H16="jah",F9&gt;I15),IF((D16+I15)&gt;($F$9-I15),IF(D16&gt;(F9-I15),ROUND(($F$9-I15)*7%,2),ROUND(D16*7%,2)),ROUND(D16*7%,2)),0)),0),"")</f>
        <v/>
      </c>
      <c r="G16" s="16"/>
      <c r="H16" s="6"/>
      <c r="I16" s="7">
        <f>IF(AND(H16="jah",F9&gt;I15),IF((D16+I15)&gt;($F$9-I15),IF(D16&gt;(F9-I15),($F$9-I15),D16),D16),0)</f>
        <v>0</v>
      </c>
      <c r="J16" s="7" t="str">
        <f t="shared" ref="J16:J21" si="0">IF(D16&lt;&gt;0,D16-F16,"")</f>
        <v/>
      </c>
      <c r="K16" s="7" t="str">
        <f t="shared" ref="K16:K21" si="1">IF(D16&lt;&gt;0,SUM(E16:F16),"")</f>
        <v/>
      </c>
    </row>
    <row r="17" spans="1:11" x14ac:dyDescent="0.25">
      <c r="A17" s="5"/>
      <c r="B17" s="6"/>
      <c r="C17" s="6"/>
      <c r="D17" s="4"/>
      <c r="E17" s="7" t="str">
        <f>IF(D17&lt;&gt;0,IF(AND(B17="füüsiline",H17="jah",F9&gt;(I15+I16)),IF((D17+I15+I16)&gt;($F$9-I16-I15),IF(D17&gt;(F9-I16-I15),ROUND(($F$9-I16-I15)*14/86,2)+ROUND((D17-$F$9+I16+I15)*IF(C2&gt;2024,22/78,20/80),2),ROUND(D17*14/86,2)),ROUND(D17*14/86,2)),D17*IF(C2&gt;2024,22/78,20/80)),"")</f>
        <v/>
      </c>
      <c r="F17" s="7" t="str">
        <f>IF(D17&lt;&gt;0,IF(B17="füüsiline",IF(C17="mitteresident",IF(AND(H17="jah",F9&gt;(I16+I15)),IF((D17+I16+I15)&gt;($F$9-I16-I15),IF(D17&gt;(F9-I16-I15),ROUND(($F$9-I16-I15)*G17,2),ROUND(D17*G17,2)),ROUND(D17*G17,2)),0),IF(AND(H17="jah",F9&gt;(I16+I15)),IF((D17+I16+I15)&gt;($F$9-I16-I15),IF(D17&gt;(F9-I16-I15),ROUND(($F$9-I16-I15)*7%,2),ROUND(D17*7%,2)),ROUND(D17*7%,2)),0)),0),"")</f>
        <v/>
      </c>
      <c r="G17" s="16"/>
      <c r="H17" s="6"/>
      <c r="I17" s="7">
        <f>IF(AND(H17="jah",F9&gt;(I16+I15)),IF((D17+I16+I15)&gt;($F$9-I16-I15),IF(D17&gt;(F9-I16-I15),($F$9-I16-I15),D17),D17),0)</f>
        <v>0</v>
      </c>
      <c r="J17" s="7" t="str">
        <f t="shared" si="0"/>
        <v/>
      </c>
      <c r="K17" s="7" t="str">
        <f t="shared" si="1"/>
        <v/>
      </c>
    </row>
    <row r="18" spans="1:11" x14ac:dyDescent="0.25">
      <c r="A18" s="5"/>
      <c r="B18" s="6"/>
      <c r="C18" s="6"/>
      <c r="D18" s="4"/>
      <c r="E18" s="7" t="str">
        <f>IF(D18&lt;&gt;0,IF(AND(B18="füüsiline",H18="jah",F9&gt;(I16+I17+I15)),IF((D18+I16+I17+I15)&gt;($F$9-I17-I16-I15),IF(D18&gt;(F9-I17-I16-I15),ROUND(($F$9-I17-I16-I15)*14/86,2)+ROUND((D18-$F$9+I17+I16+I15)*IF(C2&gt;2024,22/78,20/80),2),ROUND(D18*14/86,2)),ROUND(D18*14/86,2)),D18*IF(C2&gt;2024,22/78,20/80)),"")</f>
        <v/>
      </c>
      <c r="F18" s="7" t="str">
        <f>IF(D18&lt;&gt;0,IF(B18="füüsiline",IF(C18="mitteresident",IF(AND(H18="jah",F9&gt;(I17+I16+I15)),IF((D18+I17+I16+I15)&gt;($F$9-I17-I16-I15),IF(D18&gt;(F9-I17-I16-I15),ROUND(($F$9-I17-I16-I15)*G18,2),ROUND(D18*G18,2)),ROUND(D18*G18,2)),0),IF(AND(H18="jah",F9&gt;(I17+I16+I15)),IF((D18+I17+I16+I15)&gt;($F$9-I17-I16-I15),IF(D18&gt;(F9-I17-I16-I15),ROUND(($F$9-I17-I16-I15)*7%,2),ROUND(D18*7%,2)),ROUND(D18*7%,2)),0)),0),"")</f>
        <v/>
      </c>
      <c r="G18" s="16"/>
      <c r="H18" s="6"/>
      <c r="I18" s="7">
        <f>IF(AND(H18="jah",F9&gt;(I17+I16+I15)),IF((D18+I17+I16+I15)&gt;($F$9-I17-I16-I15),IF(D18&gt;(F9-I17-I16-I15),($F$9-I17-I16-I15),D18),D18),0)</f>
        <v>0</v>
      </c>
      <c r="J18" s="7" t="str">
        <f t="shared" si="0"/>
        <v/>
      </c>
      <c r="K18" s="7" t="str">
        <f t="shared" si="1"/>
        <v/>
      </c>
    </row>
    <row r="19" spans="1:11" x14ac:dyDescent="0.25">
      <c r="A19" s="5"/>
      <c r="B19" s="6"/>
      <c r="C19" s="6"/>
      <c r="D19" s="4"/>
      <c r="E19" s="7" t="str">
        <f>IF(D19&lt;&gt;0,IF(AND(B19="füüsiline",H19="jah",F9&gt;(I17+I18+I16+I15)),IF((D19+I17+I18+I16+I15)&gt;($F$9-I18-I17-I16-I15),IF(D19&gt;(F9-I18-I17-I16-I15),ROUND(($F$9-I18-I17-I16-I15)*14/86,2)+ROUND((D19-$F$9+I18+I17+I16+I15)*IF(C2&gt;2024,22/78,20/80),2),ROUND(D19*14/86,2)),ROUND(D19*14/86,2)),D19*IF(C2&gt;2024,22/78,20/80)),"")</f>
        <v/>
      </c>
      <c r="F19" s="7" t="str">
        <f>IF(D19&lt;&gt;0,IF(B19="füüsiline",IF(C19="mitteresident",IF(AND(H19="jah",F9&gt;(I18+I17+I16+I15)),IF((D19+I18+I17+I16+I15)&gt;($F$9-I18-I17-I16-I15),IF(D19&gt;(F9-I18-I17-I16-I15),ROUND(($F$9-I18-I17-I16-I15)*G19,2),ROUND(D19*G19,2)),ROUND(D19*G19,2)),0),IF(AND(H19="jah",F9&gt;(I18+I17+I16+I15)),IF((D19+I18+I17+I16+I15)&gt;($F$9-I18-I17-I16-I15),IF(D19&gt;(F9-I18-I17-I16-I15),ROUND(($F$9-I18-I17-I16-I15)*7%,2),ROUND(D19*7%,2)),ROUND(D19*7%,2)),0)),0),"")</f>
        <v/>
      </c>
      <c r="G19" s="16"/>
      <c r="H19" s="6"/>
      <c r="I19" s="7">
        <f>IF(AND(H19="jah",F9&gt;(I18+I17+I16+I15)),IF((D19+I18+I17+I16+I15)&gt;($F$9-I18-I17-I16-I15),IF(D19&gt;(F9-I18-I17-I16-I15),($F$9-I18-I17-I16-I15),D19),D19),0)</f>
        <v>0</v>
      </c>
      <c r="J19" s="7" t="str">
        <f t="shared" si="0"/>
        <v/>
      </c>
      <c r="K19" s="7" t="str">
        <f t="shared" si="1"/>
        <v/>
      </c>
    </row>
    <row r="20" spans="1:11" x14ac:dyDescent="0.25">
      <c r="A20" s="5"/>
      <c r="B20" s="6"/>
      <c r="C20" s="6"/>
      <c r="D20" s="4"/>
      <c r="E20" s="7" t="str">
        <f>IF(D20&lt;&gt;0,IF(AND(B20="füüsiline",H20="jah",F9&gt;(I18+I19+I17+I16+I15)),IF((D20+I18+I19+I17+I16+I15)&gt;($F$9-I19-I18-I17-I16-I15),IF(D20&gt;(F9-I19-I18-I17-I16-I15),ROUND(($F$9-I19-I18-I17-I16-I15)*14/86,2)+ROUND((D20-$F$9+I19+I18+I17+I16+I15)*IF(C2&gt;2024,22/78,20/80),2),ROUND(D20*14/86,2)),ROUND(D20*14/86,2)),D20*IF(C2&gt;2024,22/78,20/80)),"")</f>
        <v/>
      </c>
      <c r="F20" s="7" t="str">
        <f>IF(D20&lt;&gt;0,IF(B20="füüsiline",IF(C20="mitteresident",IF(AND(H20="jah",F9&gt;(I19+I18+I17+I16+I15)),IF((D20+I19+I18+I17+I16+I15)&gt;($F$9-I19-I18-I17-I16-I15),IF(D20&gt;(F9-I19-I18-I17-I16-I15),ROUND(($F$9-I19-I18-I17-I16-I15)*G20,2),ROUND(D20*G20,2)),ROUND(D20*G20,2)),0),IF(AND(H20="jah",F9&gt;(I19+I18+I17+I16+I15)),IF((D20+I19+I18+I17+I16+I15)&gt;($F$9-I19-I18-I17-I16-I15),IF(D20&gt;(F9-I19-I18-I17-I16-I15),ROUND(($F$9-I19-I18-I17-I16-I15)*7%,2),ROUND(D20*7%,2)),ROUND(D20*7%,2)),0)),0),"")</f>
        <v/>
      </c>
      <c r="G20" s="16"/>
      <c r="H20" s="6"/>
      <c r="I20" s="7">
        <f>IF(AND(H20="jah",F9&gt;(I19+I18+I17+I16+I15)),IF((D20+I19+I18+I17+I16+I15)&gt;($F$9-I19-I18-I17-I16-I15),IF(D20&gt;(F9-I19-I18-I17-I16-I15),($F$9-I19-I18-I17-I16-I15),D20),D20),0)</f>
        <v>0</v>
      </c>
      <c r="J20" s="7" t="str">
        <f t="shared" si="0"/>
        <v/>
      </c>
      <c r="K20" s="7" t="str">
        <f t="shared" si="1"/>
        <v/>
      </c>
    </row>
    <row r="21" spans="1:11" x14ac:dyDescent="0.25">
      <c r="A21" s="5"/>
      <c r="B21" s="6"/>
      <c r="C21" s="6"/>
      <c r="D21" s="4"/>
      <c r="E21" s="7" t="str">
        <f>IF(D21&lt;&gt;0,IF(AND(B21="füüsiline",H21="jah",F9&gt;(I19+I20+I18+I17+I16+I15)),IF((D21+I19+I20+I18+I17+I16+I15)&gt;($F$9-I20-I19-I18-I17-I16-I15),IF(D21&gt;(F9-I20-I19-I18-I17-I16-I15),ROUND(($F$9-I20-I19-I18-I17-I16-I15)*14/86,2)+ROUND((D21-$F$9+I20+I19+I18+I17+I16+I15)*IF(C2&gt;2024,22/78,20/80),2),ROUND(D21*14/86,2)),ROUND(D21*14/86,2)),D21*IF(C2&gt;2024,22/78,20/80)),"")</f>
        <v/>
      </c>
      <c r="F21" s="7" t="str">
        <f>IF(D21&lt;&gt;0,IF(B21="füüsiline",IF(C21="mitteresident",IF(AND(H21="jah",F9&gt;(I20+I19+I18+I17+I16+I15)),IF((D21+I20+I19+I18+I17+I16+I15)&gt;($F$9-I20-I19-I18-I17-I16-I15),IF(D21&gt;(F9-I20-I19-I18-I17-I16-I15),ROUND(($F$9-I20-I19-I18-I17-I16-I15)*G21,2),ROUND(D21*G21,2)),ROUND(D21*G21,2)),0),IF(AND(H21="jah",F9&gt;(I20+I19+I18+I17+I16+I15)),IF((D21+I20+I19+I18+I17+I16+I15)&gt;($F$9-I20-I19-I18-I17-I16-I15),IF(D21&gt;(F9-I20-I19-I18-I17-I16-I15),ROUND(($F$9-I20-I19-I18-I17-I16-I15)*7%,2),ROUND(D21*7%,2)),ROUND(D21*7%,2)),0)),0),"")</f>
        <v/>
      </c>
      <c r="G21" s="16"/>
      <c r="H21" s="6"/>
      <c r="I21" s="7">
        <f>IF(AND(H21="jah",F9&gt;(I20+I19+I18+I17+I16+I15)),IF((D21+I20+I19+I18+I17+I16+I15)&gt;($F$9-I20-I19-I18-I17-I16-I15),IF(D21&gt;(F9-I20-I19-I18-I17-I16-I15),($F$9-I20-I19-I18-I17-I16-I15),D21),D21),0)</f>
        <v>0</v>
      </c>
      <c r="J21" s="7" t="str">
        <f t="shared" si="0"/>
        <v/>
      </c>
      <c r="K21" s="7" t="str">
        <f t="shared" si="1"/>
        <v/>
      </c>
    </row>
    <row r="22" spans="1:11" x14ac:dyDescent="0.25">
      <c r="A22" s="22" t="s">
        <v>2</v>
      </c>
      <c r="B22" s="23"/>
      <c r="C22" s="23"/>
      <c r="D22" s="24">
        <f>SUM(D15:D21)</f>
        <v>0</v>
      </c>
      <c r="E22" s="24">
        <f t="shared" ref="E22:F22" si="2">SUM(E15:E21)</f>
        <v>0</v>
      </c>
      <c r="F22" s="24">
        <f t="shared" si="2"/>
        <v>0</v>
      </c>
      <c r="G22" s="23"/>
      <c r="H22" s="23"/>
      <c r="I22" s="24">
        <f t="shared" ref="I22" si="3">SUM(I15:I21)</f>
        <v>0</v>
      </c>
      <c r="J22" s="24">
        <f t="shared" ref="J22" si="4">SUM(J15:J21)</f>
        <v>0</v>
      </c>
      <c r="K22" s="24">
        <f t="shared" ref="K22" si="5">SUM(K15:K21)</f>
        <v>0</v>
      </c>
    </row>
    <row r="23" spans="1:11" x14ac:dyDescent="0.25">
      <c r="A23" s="20"/>
      <c r="B23" s="12"/>
      <c r="C23" s="12"/>
      <c r="D23" s="21"/>
      <c r="E23" s="21"/>
      <c r="F23" s="21"/>
      <c r="G23" s="12"/>
      <c r="H23" s="12"/>
      <c r="I23" s="21"/>
      <c r="J23" s="21"/>
      <c r="K23" s="21"/>
    </row>
    <row r="24" spans="1:11" x14ac:dyDescent="0.25">
      <c r="A24" s="10" t="s">
        <v>21</v>
      </c>
    </row>
    <row r="25" spans="1:11" x14ac:dyDescent="0.25">
      <c r="A25" s="10" t="s">
        <v>22</v>
      </c>
    </row>
    <row r="26" spans="1:11" x14ac:dyDescent="0.25">
      <c r="A26" s="12" t="s">
        <v>23</v>
      </c>
    </row>
    <row r="27" spans="1:11" x14ac:dyDescent="0.25">
      <c r="A27" s="10" t="s">
        <v>16</v>
      </c>
    </row>
    <row r="28" spans="1:11" x14ac:dyDescent="0.25"/>
    <row r="29" spans="1:11" ht="15.75" x14ac:dyDescent="0.25">
      <c r="A29" s="28" t="s">
        <v>27</v>
      </c>
    </row>
    <row r="30" spans="1:11" x14ac:dyDescent="0.25">
      <c r="A30" s="29" t="s">
        <v>26</v>
      </c>
    </row>
    <row r="31" spans="1:11" x14ac:dyDescent="0.25"/>
    <row r="32" spans="1:11" x14ac:dyDescent="0.25">
      <c r="A32" s="30" t="s">
        <v>45</v>
      </c>
    </row>
    <row r="33" spans="1:4" x14ac:dyDescent="0.25">
      <c r="A33" s="31" t="s">
        <v>39</v>
      </c>
      <c r="B33" s="25" t="s">
        <v>29</v>
      </c>
      <c r="C33" s="7" t="str">
        <f>IF(OR(D15&lt;&gt;0,D16&lt;&gt;0,D17&lt;&gt;0,D18&lt;&gt;0,D19&lt;&gt;0,D20&lt;&gt;0,D21&lt;&gt;0),SUM(D15:D21),"")</f>
        <v/>
      </c>
      <c r="D33" s="27" t="s">
        <v>47</v>
      </c>
    </row>
    <row r="34" spans="1:4" x14ac:dyDescent="0.25">
      <c r="A34" s="31" t="s">
        <v>38</v>
      </c>
      <c r="B34" s="25" t="s">
        <v>30</v>
      </c>
      <c r="C34" s="7" t="str">
        <f>IF(OR(D15&lt;&gt;0,D16&lt;&gt;0,D17&lt;&gt;0,D18&lt;&gt;0,D19&lt;&gt;0,D20&lt;&gt;0,D21&lt;&gt;0),SUM(J15:J21),"")</f>
        <v/>
      </c>
      <c r="D34" s="27" t="s">
        <v>48</v>
      </c>
    </row>
    <row r="35" spans="1:4" x14ac:dyDescent="0.25">
      <c r="A35" s="31" t="s">
        <v>37</v>
      </c>
      <c r="B35" s="25" t="s">
        <v>29</v>
      </c>
      <c r="C35" s="7" t="str">
        <f>IF(OR(D15&lt;&gt;0,D16&lt;&gt;0,D17&lt;&gt;0,D18&lt;&gt;0,D19&lt;&gt;0,D20&lt;&gt;0,D21&lt;&gt;0),SUM(E15:E21),"")</f>
        <v/>
      </c>
    </row>
    <row r="36" spans="1:4" x14ac:dyDescent="0.25">
      <c r="A36" s="31" t="s">
        <v>35</v>
      </c>
      <c r="B36" s="25" t="s">
        <v>30</v>
      </c>
      <c r="C36" s="19" t="str">
        <f>IF(OR(D15&lt;&gt;0,D16&lt;&gt;0,D17&lt;&gt;0,D18&lt;&gt;0,D19&lt;&gt;0,D20&lt;&gt;0,D21&lt;&gt;0),SUM(E15:E21),"")</f>
        <v/>
      </c>
    </row>
    <row r="37" spans="1:4" x14ac:dyDescent="0.25">
      <c r="A37" s="31" t="s">
        <v>28</v>
      </c>
      <c r="B37" s="25" t="s">
        <v>30</v>
      </c>
      <c r="C37" s="7" t="str">
        <f>IF(OR(D15&lt;&gt;0,D16&lt;&gt;0,D17&lt;&gt;0,D18&lt;&gt;0,D19&lt;&gt;0,D20&lt;&gt;0,D21&lt;&gt;0),SUM(F15:F21),"")</f>
        <v/>
      </c>
    </row>
    <row r="38" spans="1:4" x14ac:dyDescent="0.25">
      <c r="A38" s="29"/>
    </row>
    <row r="39" spans="1:4" x14ac:dyDescent="0.25">
      <c r="A39" s="30" t="s">
        <v>44</v>
      </c>
    </row>
    <row r="40" spans="1:4" x14ac:dyDescent="0.25">
      <c r="A40" s="31" t="s">
        <v>34</v>
      </c>
      <c r="B40" s="25" t="s">
        <v>29</v>
      </c>
      <c r="C40" s="7" t="str">
        <f>IF(OR(D15&lt;&gt;0,D16&lt;&gt;0,D17&lt;&gt;0,D18&lt;&gt;0,D19&lt;&gt;0,D20&lt;&gt;0,D21&lt;&gt;0),SUM(J15:J21),"")</f>
        <v/>
      </c>
      <c r="D40" s="27" t="s">
        <v>47</v>
      </c>
    </row>
    <row r="41" spans="1:4" x14ac:dyDescent="0.25">
      <c r="A41" s="31" t="s">
        <v>42</v>
      </c>
      <c r="B41" s="25" t="s">
        <v>30</v>
      </c>
      <c r="C41" s="7" t="str">
        <f>IF(OR(D15&lt;&gt;0,D16&lt;&gt;0,D17&lt;&gt;0,D18&lt;&gt;0,D19&lt;&gt;0,D20&lt;&gt;0,D21&lt;&gt;0),SUM(J15:J21),"")</f>
        <v/>
      </c>
      <c r="D41" s="27" t="s">
        <v>49</v>
      </c>
    </row>
    <row r="42" spans="1:4" x14ac:dyDescent="0.25">
      <c r="A42" s="31" t="s">
        <v>35</v>
      </c>
      <c r="B42" s="25" t="s">
        <v>29</v>
      </c>
      <c r="C42" s="19" t="str">
        <f>IF(OR(D15&lt;&gt;0,D16&lt;&gt;0,D17&lt;&gt;0,D18&lt;&gt;0,D19&lt;&gt;0,D20&lt;&gt;0,D21&lt;&gt;0),SUM(E15:E21),"")</f>
        <v/>
      </c>
    </row>
    <row r="43" spans="1:4" x14ac:dyDescent="0.25">
      <c r="A43" s="31" t="s">
        <v>28</v>
      </c>
      <c r="B43" s="25" t="s">
        <v>29</v>
      </c>
      <c r="C43" s="7" t="str">
        <f>IF(OR(D15&lt;&gt;0,D16&lt;&gt;0,D17&lt;&gt;0,D18&lt;&gt;0,D19&lt;&gt;0,D20&lt;&gt;0,D21&lt;&gt;0),SUM(F15:F21),"")</f>
        <v/>
      </c>
    </row>
    <row r="44" spans="1:4" x14ac:dyDescent="0.25">
      <c r="A44" s="31" t="s">
        <v>36</v>
      </c>
      <c r="B44" s="25" t="s">
        <v>30</v>
      </c>
      <c r="C44" s="19" t="str">
        <f>IF(OR(D15&lt;&gt;0,D16&lt;&gt;0,D17&lt;&gt;0,D18&lt;&gt;0,D19&lt;&gt;0,D20&lt;&gt;0,D21&lt;&gt;0),SUM(E15:E21),"")</f>
        <v/>
      </c>
    </row>
    <row r="45" spans="1:4" x14ac:dyDescent="0.25">
      <c r="A45" s="31" t="s">
        <v>31</v>
      </c>
      <c r="B45" s="25" t="s">
        <v>30</v>
      </c>
      <c r="C45" s="7" t="str">
        <f>IF(OR(D15&lt;&gt;0,D16&lt;&gt;0,D17&lt;&gt;0,D18&lt;&gt;0,D19&lt;&gt;0,D20&lt;&gt;0,D21&lt;&gt;0),SUM(F15:F21),"")</f>
        <v/>
      </c>
    </row>
    <row r="46" spans="1:4" x14ac:dyDescent="0.25"/>
    <row r="47" spans="1:4" x14ac:dyDescent="0.25">
      <c r="A47" s="30" t="s">
        <v>52</v>
      </c>
    </row>
    <row r="48" spans="1:4" x14ac:dyDescent="0.25">
      <c r="A48" s="30" t="s">
        <v>53</v>
      </c>
    </row>
    <row r="49" spans="1:4" x14ac:dyDescent="0.25">
      <c r="A49" s="31" t="s">
        <v>33</v>
      </c>
      <c r="B49" s="25" t="s">
        <v>29</v>
      </c>
      <c r="C49" s="7" t="str">
        <f>IF(OR(D15&lt;&gt;0,D16&lt;&gt;0,D17&lt;&gt;0,D18&lt;&gt;0,D19&lt;&gt;0,D20&lt;&gt;0,D21&lt;&gt;0),E22+F22,"")</f>
        <v/>
      </c>
      <c r="D49" s="27" t="s">
        <v>47</v>
      </c>
    </row>
    <row r="50" spans="1:4" x14ac:dyDescent="0.25">
      <c r="A50" s="31" t="s">
        <v>41</v>
      </c>
      <c r="B50" s="25" t="s">
        <v>30</v>
      </c>
      <c r="C50" s="7" t="str">
        <f>IF(OR(D15&lt;&gt;0,D16&lt;&gt;0,D17&lt;&gt;0,D18&lt;&gt;0,D19&lt;&gt;0,D20&lt;&gt;0,D21&lt;&gt;0),E22+F22,"")</f>
        <v/>
      </c>
      <c r="D50" s="27" t="s">
        <v>50</v>
      </c>
    </row>
    <row r="51" spans="1:4" x14ac:dyDescent="0.25">
      <c r="A51" s="29"/>
    </row>
    <row r="52" spans="1:4" x14ac:dyDescent="0.25">
      <c r="A52" s="30" t="s">
        <v>54</v>
      </c>
    </row>
    <row r="53" spans="1:4" x14ac:dyDescent="0.25">
      <c r="A53" s="12" t="s">
        <v>43</v>
      </c>
    </row>
    <row r="54" spans="1:4" x14ac:dyDescent="0.25">
      <c r="A54" s="32" t="s">
        <v>32</v>
      </c>
      <c r="B54" s="25" t="s">
        <v>30</v>
      </c>
      <c r="C54" s="19" t="str">
        <f>IF(OR(D15&lt;&gt;0,D16&lt;&gt;0,D17&lt;&gt;0,D18&lt;&gt;0,D19&lt;&gt;0,D20&lt;&gt;0,D21&lt;&gt;0),E22+F22,"")</f>
        <v/>
      </c>
      <c r="D54" s="27" t="s">
        <v>47</v>
      </c>
    </row>
    <row r="55" spans="1:4" x14ac:dyDescent="0.25">
      <c r="A55" s="18" t="s">
        <v>40</v>
      </c>
      <c r="B55" s="25" t="s">
        <v>29</v>
      </c>
      <c r="C55" s="19" t="str">
        <f>IF(OR(D15&lt;&gt;0,D16&lt;&gt;0,D17&lt;&gt;0,D18&lt;&gt;0,D19&lt;&gt;0,D20&lt;&gt;0,D21&lt;&gt;0),SUM(E15:E21),"")</f>
        <v/>
      </c>
      <c r="D55" s="27" t="s">
        <v>51</v>
      </c>
    </row>
    <row r="56" spans="1:4" x14ac:dyDescent="0.25">
      <c r="A56" s="31" t="s">
        <v>31</v>
      </c>
      <c r="B56" s="25" t="s">
        <v>29</v>
      </c>
      <c r="C56" s="7" t="str">
        <f>IF(OR(D15&lt;&gt;0,D16&lt;&gt;0,D17&lt;&gt;0,D18&lt;&gt;0,D19&lt;&gt;0,D20&lt;&gt;0,D21&lt;&gt;0),SUM(F15:F21),"")</f>
        <v/>
      </c>
    </row>
    <row r="57" spans="1:4" x14ac:dyDescent="0.25">
      <c r="A57" s="12"/>
    </row>
    <row r="58" spans="1:4" x14ac:dyDescent="0.25">
      <c r="A58" s="12" t="s">
        <v>46</v>
      </c>
    </row>
    <row r="59" spans="1:4" x14ac:dyDescent="0.25">
      <c r="A59" s="31" t="s">
        <v>36</v>
      </c>
      <c r="B59" s="25" t="s">
        <v>29</v>
      </c>
      <c r="C59" s="19" t="str">
        <f>IF(OR(D15&lt;&gt;0,D16&lt;&gt;0,D17&lt;&gt;0,D18&lt;&gt;0,D19&lt;&gt;0,D20&lt;&gt;0,D21&lt;&gt;0),SUM(E15:E21),"")</f>
        <v/>
      </c>
    </row>
    <row r="60" spans="1:4" x14ac:dyDescent="0.25">
      <c r="A60" s="26" t="s">
        <v>40</v>
      </c>
      <c r="B60" s="25" t="s">
        <v>30</v>
      </c>
      <c r="C60" s="19" t="str">
        <f>IF(OR(D15&lt;&gt;0,D16&lt;&gt;0,D17&lt;&gt;0,D18&lt;&gt;0,D19&lt;&gt;0,D20&lt;&gt;0,D21&lt;&gt;0),SUM(E15:E21),"")</f>
        <v/>
      </c>
    </row>
    <row r="61" spans="1:4" x14ac:dyDescent="0.25">
      <c r="A61" s="29"/>
    </row>
    <row r="62" spans="1:4" x14ac:dyDescent="0.25">
      <c r="A62" s="33"/>
    </row>
    <row r="63" spans="1:4" x14ac:dyDescent="0.25">
      <c r="A63" s="30" t="s">
        <v>55</v>
      </c>
    </row>
    <row r="64" spans="1:4" x14ac:dyDescent="0.25">
      <c r="A64" s="31" t="s">
        <v>36</v>
      </c>
      <c r="B64" s="25" t="s">
        <v>29</v>
      </c>
      <c r="C64" s="19" t="str">
        <f>IF(OR(D15&lt;&gt;0,D16&lt;&gt;0,D17&lt;&gt;0,D18&lt;&gt;0,D19&lt;&gt;0,D20&lt;&gt;0,D21&lt;&gt;0),SUM(E15:E21),"")</f>
        <v/>
      </c>
      <c r="D64" s="27" t="s">
        <v>47</v>
      </c>
    </row>
    <row r="65" spans="1:4" x14ac:dyDescent="0.25">
      <c r="A65" s="34" t="s">
        <v>32</v>
      </c>
      <c r="B65" s="25" t="s">
        <v>30</v>
      </c>
      <c r="C65" s="19" t="str">
        <f>IF(OR(D15&lt;&gt;0,D16&lt;&gt;0,D17&lt;&gt;0,D18&lt;&gt;0,D19&lt;&gt;0,D20&lt;&gt;0,D21&lt;&gt;0),E22+F22,"")</f>
        <v/>
      </c>
      <c r="D65" s="27" t="s">
        <v>51</v>
      </c>
    </row>
    <row r="66" spans="1:4" x14ac:dyDescent="0.25">
      <c r="A66" s="31" t="s">
        <v>31</v>
      </c>
      <c r="B66" s="25" t="s">
        <v>29</v>
      </c>
      <c r="C66" s="7" t="str">
        <f>IF(OR(D15&lt;&gt;0,D16&lt;&gt;0,D17&lt;&gt;0,D18&lt;&gt;0,D19&lt;&gt;0,D20&lt;&gt;0,D21&lt;&gt;0),SUM(F15:F21),"")</f>
        <v/>
      </c>
    </row>
    <row r="67" spans="1:4" x14ac:dyDescent="0.25"/>
  </sheetData>
  <sheetProtection algorithmName="SHA-512" hashValue="l3Bp7HR+G1O72q/lNfr6UkmuTCX3hUdnw0UVPuqtmjVXXTTpO78mXzDDTnLhlYCVsMgSzg6NGyBniWBzeqVwJw==" saltValue="Pnxv0a7AOmD/iXWuZj3zhg==" spinCount="100000" sheet="1" objects="1" scenarios="1"/>
  <mergeCells count="4">
    <mergeCell ref="A2:B2"/>
    <mergeCell ref="A3:B3"/>
    <mergeCell ref="A5:B6"/>
    <mergeCell ref="A1:K1"/>
  </mergeCells>
  <dataValidations count="5">
    <dataValidation type="list" allowBlank="1" showInputMessage="1" showErrorMessage="1" errorTitle="Dividendide tasumise aasta" error="Palun valige aasta drop-down menüüst!" sqref="C2" xr:uid="{00000000-0002-0000-0000-000000000000}">
      <formula1>DivAasta</formula1>
    </dataValidation>
    <dataValidation type="list" allowBlank="1" showInputMessage="1" showErrorMessage="1" sqref="B15:B21" xr:uid="{00000000-0002-0000-0000-000001000000}">
      <formula1>Isik</formula1>
    </dataValidation>
    <dataValidation type="list" allowBlank="1" showInputMessage="1" showErrorMessage="1" sqref="C15:C21" xr:uid="{00000000-0002-0000-0000-000002000000}">
      <formula1>residentsus</formula1>
    </dataValidation>
    <dataValidation type="list" allowBlank="1" showInputMessage="1" showErrorMessage="1" sqref="H15:H21" xr:uid="{00000000-0002-0000-0000-000003000000}">
      <formula1>YesNo</formula1>
    </dataValidation>
    <dataValidation type="list" allowBlank="1" showInputMessage="1" showErrorMessage="1" sqref="G15:G21" xr:uid="{00000000-0002-0000-0000-000004000000}">
      <formula1>TmMaar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C1" sqref="C1"/>
    </sheetView>
  </sheetViews>
  <sheetFormatPr defaultColWidth="9.140625" defaultRowHeight="15" x14ac:dyDescent="0.25"/>
  <cols>
    <col min="1" max="1" width="13.42578125" style="2" bestFit="1" customWidth="1"/>
    <col min="2" max="16384" width="9.140625" style="2"/>
  </cols>
  <sheetData>
    <row r="1" spans="1:1" x14ac:dyDescent="0.25">
      <c r="A1" s="2">
        <v>2019</v>
      </c>
    </row>
    <row r="2" spans="1:1" x14ac:dyDescent="0.25">
      <c r="A2" s="2">
        <v>2020</v>
      </c>
    </row>
    <row r="3" spans="1:1" x14ac:dyDescent="0.25">
      <c r="A3" s="2">
        <v>2021</v>
      </c>
    </row>
    <row r="4" spans="1:1" x14ac:dyDescent="0.25">
      <c r="A4" s="2">
        <v>2022</v>
      </c>
    </row>
    <row r="5" spans="1:1" x14ac:dyDescent="0.25">
      <c r="A5" s="2">
        <v>2023</v>
      </c>
    </row>
    <row r="6" spans="1:1" x14ac:dyDescent="0.25">
      <c r="A6" s="2">
        <v>2024</v>
      </c>
    </row>
    <row r="7" spans="1:1" x14ac:dyDescent="0.25">
      <c r="A7" s="2">
        <v>2025</v>
      </c>
    </row>
    <row r="8" spans="1:1" x14ac:dyDescent="0.25">
      <c r="A8" s="2">
        <v>2026</v>
      </c>
    </row>
    <row r="9" spans="1:1" x14ac:dyDescent="0.25">
      <c r="A9" s="2">
        <v>2027</v>
      </c>
    </row>
    <row r="10" spans="1:1" x14ac:dyDescent="0.25">
      <c r="A10" s="2">
        <v>2028</v>
      </c>
    </row>
    <row r="11" spans="1:1" x14ac:dyDescent="0.25">
      <c r="A11" s="2">
        <v>2029</v>
      </c>
    </row>
    <row r="16" spans="1:1" x14ac:dyDescent="0.25">
      <c r="A16" s="2" t="s">
        <v>8</v>
      </c>
    </row>
    <row r="17" spans="1:1" x14ac:dyDescent="0.25">
      <c r="A17" s="2" t="s">
        <v>24</v>
      </c>
    </row>
    <row r="20" spans="1:1" x14ac:dyDescent="0.25">
      <c r="A20" s="2" t="s">
        <v>10</v>
      </c>
    </row>
    <row r="21" spans="1:1" x14ac:dyDescent="0.25">
      <c r="A21" s="2" t="s">
        <v>11</v>
      </c>
    </row>
    <row r="24" spans="1:1" x14ac:dyDescent="0.25">
      <c r="A24" s="2" t="s">
        <v>14</v>
      </c>
    </row>
    <row r="25" spans="1:1" x14ac:dyDescent="0.25">
      <c r="A25" s="2" t="s">
        <v>15</v>
      </c>
    </row>
    <row r="29" spans="1:1" x14ac:dyDescent="0.25">
      <c r="A29" s="15">
        <v>0</v>
      </c>
    </row>
    <row r="30" spans="1:1" x14ac:dyDescent="0.25">
      <c r="A30" s="15">
        <v>0.05</v>
      </c>
    </row>
    <row r="31" spans="1:1" x14ac:dyDescent="0.25">
      <c r="A31" s="15">
        <v>7.0000000000000007E-2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5</vt:i4>
      </vt:variant>
    </vt:vector>
  </HeadingPairs>
  <TitlesOfParts>
    <vt:vector size="7" baseType="lpstr">
      <vt:lpstr>Dividendide arvestus</vt:lpstr>
      <vt:lpstr>admin</vt:lpstr>
      <vt:lpstr>DivAasta</vt:lpstr>
      <vt:lpstr>Isik</vt:lpstr>
      <vt:lpstr>residentsus</vt:lpstr>
      <vt:lpstr>TmMaar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2025-06-16T12:08:54Z</dcterms:modified>
</cp:coreProperties>
</file>